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<sst xmlns="http://schemas.openxmlformats.org/spreadsheetml/2006/main" count="1159" uniqueCount="198">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</sst>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1">
      <selection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197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560633.83</v>
      </c>
      <c r="G8" s="191">
        <f aca="true" t="shared" si="0" ref="G8:G37">F8-E8</f>
        <v>-55894.15000000002</v>
      </c>
      <c r="H8" s="192">
        <f>F8/E8*100</f>
        <v>90.93404487497875</v>
      </c>
      <c r="I8" s="193">
        <f>F8-D8</f>
        <v>-373437.6200000001</v>
      </c>
      <c r="J8" s="193">
        <f>F8/D8*100</f>
        <v>60.02044383221432</v>
      </c>
      <c r="K8" s="191">
        <f>429512.12</f>
        <v>429512.12</v>
      </c>
      <c r="L8" s="191">
        <f aca="true" t="shared" si="1" ref="L8:L51">F8-K8</f>
        <v>131121.70999999996</v>
      </c>
      <c r="M8" s="250">
        <f aca="true" t="shared" si="2" ref="M8:M28">F8/K8</f>
        <v>1.3052805820706526</v>
      </c>
      <c r="N8" s="191">
        <f>N9+N15+N18+N19+N20+N17</f>
        <v>117576.69999999995</v>
      </c>
      <c r="O8" s="191">
        <f>O9+O15+O18+O19+O20+O17</f>
        <v>16826.869999999966</v>
      </c>
      <c r="P8" s="191">
        <f>O8-N8</f>
        <v>-100749.82999999999</v>
      </c>
      <c r="Q8" s="191">
        <f>O8/N8*100</f>
        <v>14.311398431832135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306565.92</v>
      </c>
      <c r="G9" s="190">
        <f t="shared" si="0"/>
        <v>-21927.75</v>
      </c>
      <c r="H9" s="197">
        <f>F9/E9*100</f>
        <v>93.3247572167829</v>
      </c>
      <c r="I9" s="198">
        <f>F9-D9</f>
        <v>-224023.08000000002</v>
      </c>
      <c r="J9" s="198">
        <f>F9/D9*100</f>
        <v>57.778416062149795</v>
      </c>
      <c r="K9" s="199">
        <v>233711.01</v>
      </c>
      <c r="L9" s="199">
        <f t="shared" si="1"/>
        <v>72854.90999999997</v>
      </c>
      <c r="M9" s="251">
        <f t="shared" si="2"/>
        <v>1.3117307567153125</v>
      </c>
      <c r="N9" s="197">
        <f>E9-липень!E9</f>
        <v>65234.399999999965</v>
      </c>
      <c r="O9" s="200">
        <f>F9-липень!F9</f>
        <v>11156.209999999963</v>
      </c>
      <c r="P9" s="201">
        <f>O9-N9</f>
        <v>-54078.19</v>
      </c>
      <c r="Q9" s="198">
        <f>O9/N9*100</f>
        <v>17.101728535864467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319.68</v>
      </c>
      <c r="G15" s="190">
        <f t="shared" si="0"/>
        <v>-45.31999999999999</v>
      </c>
      <c r="H15" s="197">
        <f>F15/E15*100</f>
        <v>87.58356164383562</v>
      </c>
      <c r="I15" s="198">
        <f t="shared" si="4"/>
        <v>-180.32</v>
      </c>
      <c r="J15" s="198">
        <f t="shared" si="5"/>
        <v>63.93600000000001</v>
      </c>
      <c r="K15" s="201">
        <v>-734.58</v>
      </c>
      <c r="L15" s="201">
        <f t="shared" si="1"/>
        <v>1054.26</v>
      </c>
      <c r="M15" s="253">
        <f t="shared" si="2"/>
        <v>-0.43518745405537856</v>
      </c>
      <c r="N15" s="197">
        <f>E15-липень!E15</f>
        <v>115</v>
      </c>
      <c r="O15" s="200">
        <f>F15-липень!F15</f>
        <v>10.439999999999998</v>
      </c>
      <c r="P15" s="201">
        <f t="shared" si="6"/>
        <v>-104.56</v>
      </c>
      <c r="Q15" s="198">
        <f t="shared" si="7"/>
        <v>9.078260869565215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54330.86</v>
      </c>
      <c r="G19" s="190">
        <f t="shared" si="0"/>
        <v>-14929.539999999994</v>
      </c>
      <c r="H19" s="197">
        <f t="shared" si="3"/>
        <v>78.44433471363146</v>
      </c>
      <c r="I19" s="198">
        <f t="shared" si="4"/>
        <v>-55569.14</v>
      </c>
      <c r="J19" s="198">
        <f t="shared" si="5"/>
        <v>49.43663330300273</v>
      </c>
      <c r="K19" s="209">
        <v>43877.66</v>
      </c>
      <c r="L19" s="201">
        <f t="shared" si="1"/>
        <v>10453.199999999997</v>
      </c>
      <c r="M19" s="259">
        <f t="shared" si="2"/>
        <v>1.2382351292206557</v>
      </c>
      <c r="N19" s="197">
        <f>E19-липень!E19</f>
        <v>10499.999999999993</v>
      </c>
      <c r="O19" s="200">
        <f>F19-липень!F19</f>
        <v>39.66000000000349</v>
      </c>
      <c r="P19" s="201">
        <f t="shared" si="6"/>
        <v>-10460.33999999999</v>
      </c>
      <c r="Q19" s="198">
        <f aca="true" t="shared" si="9" ref="Q19:Q24">O19/N19*100</f>
        <v>0.3777142857143192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199311.4</v>
      </c>
      <c r="G20" s="190">
        <f t="shared" si="0"/>
        <v>-18991.709999999992</v>
      </c>
      <c r="H20" s="197">
        <f t="shared" si="3"/>
        <v>91.30030259303223</v>
      </c>
      <c r="I20" s="198">
        <f t="shared" si="4"/>
        <v>-93665.25000000003</v>
      </c>
      <c r="J20" s="198">
        <f t="shared" si="5"/>
        <v>68.02979008736702</v>
      </c>
      <c r="K20" s="198">
        <v>147068.17</v>
      </c>
      <c r="L20" s="201">
        <f t="shared" si="1"/>
        <v>52243.22999999998</v>
      </c>
      <c r="M20" s="254">
        <f t="shared" si="2"/>
        <v>1.3552313869139732</v>
      </c>
      <c r="N20" s="197">
        <f>N21+N30+N31+N32</f>
        <v>41631.5</v>
      </c>
      <c r="O20" s="200">
        <f>F20-липень!F20</f>
        <v>5620.559999999998</v>
      </c>
      <c r="P20" s="201">
        <f t="shared" si="6"/>
        <v>-36010.94</v>
      </c>
      <c r="Q20" s="198">
        <f t="shared" si="9"/>
        <v>13.500738623398142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106816.49</v>
      </c>
      <c r="G21" s="190">
        <f t="shared" si="0"/>
        <v>-12622.469999999987</v>
      </c>
      <c r="H21" s="197">
        <f t="shared" si="3"/>
        <v>89.4318654482591</v>
      </c>
      <c r="I21" s="198">
        <f t="shared" si="4"/>
        <v>-68083.15999999999</v>
      </c>
      <c r="J21" s="198">
        <f t="shared" si="5"/>
        <v>61.07301529762924</v>
      </c>
      <c r="K21" s="198">
        <v>79798.88</v>
      </c>
      <c r="L21" s="201">
        <f t="shared" si="1"/>
        <v>27017.61</v>
      </c>
      <c r="M21" s="254">
        <f t="shared" si="2"/>
        <v>1.3385712932311833</v>
      </c>
      <c r="N21" s="197">
        <f>N22+N25+N26</f>
        <v>22950.3</v>
      </c>
      <c r="O21" s="200">
        <f>F21-червень!F21</f>
        <v>20822.100000000006</v>
      </c>
      <c r="P21" s="201">
        <f t="shared" si="6"/>
        <v>-2128.1999999999935</v>
      </c>
      <c r="Q21" s="198">
        <f t="shared" si="9"/>
        <v>90.72691860237124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14042.1</v>
      </c>
      <c r="G22" s="212">
        <f t="shared" si="0"/>
        <v>-534.7999999999993</v>
      </c>
      <c r="H22" s="214">
        <f t="shared" si="3"/>
        <v>96.33118152693646</v>
      </c>
      <c r="I22" s="215">
        <f t="shared" si="4"/>
        <v>-4457.9</v>
      </c>
      <c r="J22" s="215">
        <f t="shared" si="5"/>
        <v>75.90324324324325</v>
      </c>
      <c r="K22" s="216">
        <v>8673.74</v>
      </c>
      <c r="L22" s="206">
        <f t="shared" si="1"/>
        <v>5368.360000000001</v>
      </c>
      <c r="M22" s="262">
        <f t="shared" si="2"/>
        <v>1.6189210190759695</v>
      </c>
      <c r="N22" s="214">
        <f>E22-липень!E22</f>
        <v>1985.2999999999993</v>
      </c>
      <c r="O22" s="217">
        <f>F22-липень!F22</f>
        <v>171.96000000000095</v>
      </c>
      <c r="P22" s="218">
        <f t="shared" si="6"/>
        <v>-1813.3399999999983</v>
      </c>
      <c r="Q22" s="215">
        <f t="shared" si="9"/>
        <v>8.661663224701607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510.67</v>
      </c>
      <c r="G25" s="212">
        <f t="shared" si="0"/>
        <v>-382.46999999999997</v>
      </c>
      <c r="H25" s="214">
        <f t="shared" si="3"/>
        <v>57.176926349732405</v>
      </c>
      <c r="I25" s="215">
        <f t="shared" si="4"/>
        <v>-489.33</v>
      </c>
      <c r="J25" s="215">
        <f t="shared" si="5"/>
        <v>51.06700000000001</v>
      </c>
      <c r="K25" s="215">
        <v>3116.95</v>
      </c>
      <c r="L25" s="215">
        <f t="shared" si="1"/>
        <v>-2606.2799999999997</v>
      </c>
      <c r="M25" s="257">
        <f t="shared" si="2"/>
        <v>0.16383644267633427</v>
      </c>
      <c r="N25" s="214">
        <f>E25-липень!E25</f>
        <v>200</v>
      </c>
      <c r="O25" s="217">
        <f>F25-липень!F25</f>
        <v>31.870000000000005</v>
      </c>
      <c r="P25" s="218">
        <f t="shared" si="6"/>
        <v>-168.13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92263.72</v>
      </c>
      <c r="G26" s="212">
        <f t="shared" si="0"/>
        <v>-11705.199999999997</v>
      </c>
      <c r="H26" s="214">
        <f t="shared" si="3"/>
        <v>88.74163548106492</v>
      </c>
      <c r="I26" s="215">
        <f t="shared" si="4"/>
        <v>-63135.92999999999</v>
      </c>
      <c r="J26" s="215">
        <f t="shared" si="5"/>
        <v>59.37189691225173</v>
      </c>
      <c r="K26" s="216">
        <v>68008.19</v>
      </c>
      <c r="L26" s="216">
        <f t="shared" si="1"/>
        <v>24255.53</v>
      </c>
      <c r="M26" s="256">
        <f t="shared" si="2"/>
        <v>1.3566560145182514</v>
      </c>
      <c r="N26" s="214">
        <f>E26-липень!E26</f>
        <v>20765</v>
      </c>
      <c r="O26" s="217">
        <f>F26-липень!F26</f>
        <v>655.9300000000076</v>
      </c>
      <c r="P26" s="218">
        <f t="shared" si="6"/>
        <v>-20109.069999999992</v>
      </c>
      <c r="Q26" s="215">
        <f>O26/N26*100</f>
        <v>3.1588249458223334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66.01</v>
      </c>
      <c r="G30" s="190">
        <f t="shared" si="0"/>
        <v>17.700000000000003</v>
      </c>
      <c r="H30" s="197">
        <f t="shared" si="3"/>
        <v>136.63837714758847</v>
      </c>
      <c r="I30" s="198">
        <f t="shared" si="4"/>
        <v>-10.989999999999995</v>
      </c>
      <c r="J30" s="198">
        <f t="shared" si="5"/>
        <v>85.72727272727273</v>
      </c>
      <c r="K30" s="198">
        <v>48.85</v>
      </c>
      <c r="L30" s="198">
        <f t="shared" si="1"/>
        <v>17.160000000000004</v>
      </c>
      <c r="M30" s="255">
        <f>F30/K30</f>
        <v>1.3512794268167863</v>
      </c>
      <c r="N30" s="197">
        <f>E30-липень!E30</f>
        <v>7.400000000000006</v>
      </c>
      <c r="O30" s="200">
        <f>F30-липень!F30</f>
        <v>0.39000000000000057</v>
      </c>
      <c r="P30" s="201">
        <f t="shared" si="6"/>
        <v>-7.010000000000005</v>
      </c>
      <c r="Q30" s="198">
        <f>O30/N30*100</f>
        <v>5.270270270270274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-147.75</v>
      </c>
      <c r="G31" s="190">
        <f t="shared" si="0"/>
        <v>-147.75</v>
      </c>
      <c r="H31" s="197"/>
      <c r="I31" s="198">
        <f t="shared" si="4"/>
        <v>-147.75</v>
      </c>
      <c r="J31" s="198"/>
      <c r="K31" s="198">
        <v>-614.57</v>
      </c>
      <c r="L31" s="198">
        <f t="shared" si="1"/>
        <v>466.82000000000005</v>
      </c>
      <c r="M31" s="255">
        <f>F31/K31</f>
        <v>0.24041199537888278</v>
      </c>
      <c r="N31" s="197">
        <f>E31-липень!E31</f>
        <v>0</v>
      </c>
      <c r="O31" s="200">
        <f>F31-липень!F31</f>
        <v>-9.02000000000001</v>
      </c>
      <c r="P31" s="201">
        <f t="shared" si="6"/>
        <v>-9.02000000000001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92576.5</v>
      </c>
      <c r="G32" s="202">
        <f t="shared" si="0"/>
        <v>-6239.3399999999965</v>
      </c>
      <c r="H32" s="204">
        <f t="shared" si="3"/>
        <v>93.68589084503051</v>
      </c>
      <c r="I32" s="205">
        <f t="shared" si="4"/>
        <v>-25423.5</v>
      </c>
      <c r="J32" s="205">
        <f t="shared" si="5"/>
        <v>78.45466101694916</v>
      </c>
      <c r="K32" s="219">
        <v>67835.01</v>
      </c>
      <c r="L32" s="219">
        <f t="shared" si="1"/>
        <v>24741.490000000005</v>
      </c>
      <c r="M32" s="258">
        <f>F32/L32</f>
        <v>3.7417512041514063</v>
      </c>
      <c r="N32" s="197">
        <f>E32-липень!E32</f>
        <v>18673.800000000003</v>
      </c>
      <c r="O32" s="200">
        <f>F32-липень!F32</f>
        <v>4769.429999999993</v>
      </c>
      <c r="P32" s="207">
        <f t="shared" si="6"/>
        <v>-13904.37000000001</v>
      </c>
      <c r="Q32" s="205">
        <f>O32/N32*100</f>
        <v>25.540757639045037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41187.619999999995</v>
      </c>
      <c r="G38" s="191">
        <f>G39+G40+G41+G42+G43+G45+G47+G48+G49+G50+G51+G56+G57+G61</f>
        <v>2416.24</v>
      </c>
      <c r="H38" s="192">
        <f>F38/E38*100</f>
        <v>106.28780705958008</v>
      </c>
      <c r="I38" s="193">
        <f>F38-D38</f>
        <v>-15647.860000000008</v>
      </c>
      <c r="J38" s="193">
        <f>F38/D38*100</f>
        <v>72.46814841715067</v>
      </c>
      <c r="K38" s="191">
        <v>21607.34</v>
      </c>
      <c r="L38" s="191">
        <f t="shared" si="1"/>
        <v>19580.279999999995</v>
      </c>
      <c r="M38" s="250">
        <f t="shared" si="10"/>
        <v>1.9061865088437537</v>
      </c>
      <c r="N38" s="191">
        <f>N39+N40+N41+N42+N43+N45+N47+N48+N49+N50+N51+N56+N57+N61+N44</f>
        <v>13756</v>
      </c>
      <c r="O38" s="191">
        <f>O39+O40+O41+O42+O43+O45+O47+O48+O49+O50+O51+O56+O57+O61+O44</f>
        <v>4401.34</v>
      </c>
      <c r="P38" s="191">
        <f>P39+P40+P41+P42+P43+P45+P47+P48+P49+P50+P51+P56+P57+P61</f>
        <v>-9347.529999999999</v>
      </c>
      <c r="Q38" s="191">
        <f>O38/N38*100</f>
        <v>31.99578365804013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299.39</v>
      </c>
      <c r="G39" s="202">
        <f>F39-E39</f>
        <v>-80.61000000000001</v>
      </c>
      <c r="H39" s="204">
        <f aca="true" t="shared" si="11" ref="H39:H62">F39/E39*100</f>
        <v>78.78684210526316</v>
      </c>
      <c r="I39" s="205">
        <f>F39-D39</f>
        <v>-100.61000000000001</v>
      </c>
      <c r="J39" s="205">
        <f>F39/D39*100</f>
        <v>74.8475</v>
      </c>
      <c r="K39" s="205">
        <v>-60.36</v>
      </c>
      <c r="L39" s="205">
        <f t="shared" si="1"/>
        <v>359.75</v>
      </c>
      <c r="M39" s="266">
        <f t="shared" si="10"/>
        <v>-4.9600728959575875</v>
      </c>
      <c r="N39" s="204">
        <f>E39-липень!E39</f>
        <v>310</v>
      </c>
      <c r="O39" s="208">
        <f>F39-липень!F39</f>
        <v>58</v>
      </c>
      <c r="P39" s="207">
        <f>O39-N39</f>
        <v>-252</v>
      </c>
      <c r="Q39" s="205">
        <f aca="true" t="shared" si="12" ref="Q39:Q62">O39/N39*100</f>
        <v>18.70967741935484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189.19</v>
      </c>
      <c r="G43" s="202">
        <f t="shared" si="13"/>
        <v>109.19</v>
      </c>
      <c r="H43" s="204">
        <f t="shared" si="11"/>
        <v>236.4875</v>
      </c>
      <c r="I43" s="205">
        <f t="shared" si="14"/>
        <v>39.19</v>
      </c>
      <c r="J43" s="205">
        <f t="shared" si="16"/>
        <v>126.12666666666668</v>
      </c>
      <c r="K43" s="205">
        <v>104.06</v>
      </c>
      <c r="L43" s="205">
        <f t="shared" si="1"/>
        <v>85.13</v>
      </c>
      <c r="M43" s="266">
        <f t="shared" si="17"/>
        <v>1.8180857197770517</v>
      </c>
      <c r="N43" s="204">
        <f>E43-липень!E43</f>
        <v>10</v>
      </c>
      <c r="O43" s="208">
        <f>F43-липень!F43</f>
        <v>1.2299999999999898</v>
      </c>
      <c r="P43" s="207">
        <f t="shared" si="15"/>
        <v>-8.77000000000001</v>
      </c>
      <c r="Q43" s="205">
        <f t="shared" si="12"/>
        <v>12.299999999999898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34.35</v>
      </c>
      <c r="G44" s="202">
        <f t="shared" si="13"/>
        <v>20.35</v>
      </c>
      <c r="H44" s="204"/>
      <c r="I44" s="205">
        <f t="shared" si="14"/>
        <v>20.35</v>
      </c>
      <c r="J44" s="205"/>
      <c r="K44" s="205">
        <v>3.5</v>
      </c>
      <c r="L44" s="205">
        <f t="shared" si="1"/>
        <v>30.85</v>
      </c>
      <c r="M44" s="266">
        <f t="shared" si="17"/>
        <v>9.814285714285715</v>
      </c>
      <c r="N44" s="204">
        <f>E44-липень!E44</f>
        <v>14</v>
      </c>
      <c r="O44" s="208">
        <f>F44-липень!F44</f>
        <v>6.870000000000001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266.53</v>
      </c>
      <c r="G45" s="202">
        <f t="shared" si="13"/>
        <v>10.529999999999973</v>
      </c>
      <c r="H45" s="204">
        <f t="shared" si="11"/>
        <v>104.11328124999999</v>
      </c>
      <c r="I45" s="205">
        <f t="shared" si="14"/>
        <v>-33.47000000000003</v>
      </c>
      <c r="J45" s="205">
        <f t="shared" si="16"/>
        <v>88.84333333333333</v>
      </c>
      <c r="K45" s="205">
        <v>0</v>
      </c>
      <c r="L45" s="205">
        <f t="shared" si="1"/>
        <v>266.53</v>
      </c>
      <c r="M45" s="266"/>
      <c r="N45" s="204">
        <f>E45-липень!E45</f>
        <v>208</v>
      </c>
      <c r="O45" s="208">
        <f>F45-липень!F45</f>
        <v>18.159999999999968</v>
      </c>
      <c r="P45" s="207">
        <f t="shared" si="15"/>
        <v>-189.84000000000003</v>
      </c>
      <c r="Q45" s="205">
        <f t="shared" si="12"/>
        <v>8.730769230769216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6330.73</v>
      </c>
      <c r="G47" s="202">
        <f t="shared" si="13"/>
        <v>191.70999999999913</v>
      </c>
      <c r="H47" s="204">
        <f t="shared" si="11"/>
        <v>103.12281113272151</v>
      </c>
      <c r="I47" s="205">
        <f t="shared" si="14"/>
        <v>-3569.2700000000004</v>
      </c>
      <c r="J47" s="205">
        <f t="shared" si="16"/>
        <v>63.94676767676767</v>
      </c>
      <c r="K47" s="205">
        <v>6772.05</v>
      </c>
      <c r="L47" s="205">
        <f t="shared" si="1"/>
        <v>-441.3200000000006</v>
      </c>
      <c r="M47" s="266">
        <f t="shared" si="17"/>
        <v>0.9348321409322139</v>
      </c>
      <c r="N47" s="204">
        <f>E47-липень!E47</f>
        <v>800</v>
      </c>
      <c r="O47" s="208">
        <f>F47-липень!F47</f>
        <v>240.09999999999945</v>
      </c>
      <c r="P47" s="207">
        <f t="shared" si="15"/>
        <v>-559.9000000000005</v>
      </c>
      <c r="Q47" s="205">
        <f t="shared" si="12"/>
        <v>30.012499999999932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126.35</v>
      </c>
      <c r="G48" s="202">
        <f t="shared" si="13"/>
        <v>-523.65</v>
      </c>
      <c r="H48" s="204">
        <f t="shared" si="11"/>
        <v>19.43846153846154</v>
      </c>
      <c r="I48" s="205">
        <f t="shared" si="14"/>
        <v>-523.65</v>
      </c>
      <c r="J48" s="205">
        <f t="shared" si="16"/>
        <v>19.43846153846154</v>
      </c>
      <c r="K48" s="205">
        <v>0</v>
      </c>
      <c r="L48" s="205">
        <f t="shared" si="1"/>
        <v>126.35</v>
      </c>
      <c r="M48" s="266"/>
      <c r="N48" s="204">
        <f>E48-липень!E48</f>
        <v>0</v>
      </c>
      <c r="O48" s="208">
        <f>F48-липень!F48</f>
        <v>8.959999999999994</v>
      </c>
      <c r="P48" s="207">
        <f t="shared" si="15"/>
        <v>8.959999999999994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8.54</v>
      </c>
      <c r="G49" s="202">
        <f t="shared" si="13"/>
        <v>-19.46</v>
      </c>
      <c r="H49" s="204">
        <f t="shared" si="11"/>
        <v>30.5</v>
      </c>
      <c r="I49" s="205">
        <f t="shared" si="14"/>
        <v>-41.46</v>
      </c>
      <c r="J49" s="205">
        <f t="shared" si="16"/>
        <v>17.08</v>
      </c>
      <c r="K49" s="205">
        <v>0</v>
      </c>
      <c r="L49" s="205">
        <f t="shared" si="1"/>
        <v>8.54</v>
      </c>
      <c r="M49" s="266"/>
      <c r="N49" s="204">
        <f>E49-липень!E49</f>
        <v>4</v>
      </c>
      <c r="O49" s="208">
        <f>F49-липень!F49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3866.31</v>
      </c>
      <c r="G51" s="202">
        <f t="shared" si="13"/>
        <v>-524.8799999999997</v>
      </c>
      <c r="H51" s="204">
        <f t="shared" si="11"/>
        <v>88.04697587669857</v>
      </c>
      <c r="I51" s="205">
        <f t="shared" si="14"/>
        <v>-3133.73</v>
      </c>
      <c r="J51" s="205">
        <f t="shared" si="16"/>
        <v>55.23268438466066</v>
      </c>
      <c r="K51" s="205">
        <v>5221.43</v>
      </c>
      <c r="L51" s="205">
        <f t="shared" si="1"/>
        <v>-1355.1200000000003</v>
      </c>
      <c r="M51" s="266">
        <f t="shared" si="17"/>
        <v>0.7404695648510082</v>
      </c>
      <c r="N51" s="204">
        <f>E51-липень!E51</f>
        <v>519.9999999999995</v>
      </c>
      <c r="O51" s="208">
        <f>F51-липень!F51</f>
        <v>141.51999999999998</v>
      </c>
      <c r="P51" s="207">
        <f t="shared" si="15"/>
        <v>-378.47999999999956</v>
      </c>
      <c r="Q51" s="205">
        <f t="shared" si="12"/>
        <v>27.215384615384636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4329.05</v>
      </c>
      <c r="G57" s="202">
        <f t="shared" si="13"/>
        <v>761.0700000000002</v>
      </c>
      <c r="H57" s="204">
        <f t="shared" si="11"/>
        <v>121.33055678563221</v>
      </c>
      <c r="I57" s="205">
        <f t="shared" si="14"/>
        <v>-820.9499999999998</v>
      </c>
      <c r="J57" s="205">
        <f t="shared" si="16"/>
        <v>84.05922330097087</v>
      </c>
      <c r="K57" s="205">
        <v>3192.65</v>
      </c>
      <c r="L57" s="205">
        <f aca="true" t="shared" si="18" ref="L57:L63">F57-K57</f>
        <v>1136.4</v>
      </c>
      <c r="M57" s="266">
        <f t="shared" si="17"/>
        <v>1.3559425555572957</v>
      </c>
      <c r="N57" s="204">
        <f>E57-липень!E57</f>
        <v>930</v>
      </c>
      <c r="O57" s="208">
        <f>F57-липень!F57</f>
        <v>67.15000000000055</v>
      </c>
      <c r="P57" s="207">
        <f t="shared" si="15"/>
        <v>-862.8499999999995</v>
      </c>
      <c r="Q57" s="205">
        <f t="shared" si="12"/>
        <v>7.22043010752694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783.14</v>
      </c>
      <c r="G59" s="202"/>
      <c r="H59" s="204"/>
      <c r="I59" s="205"/>
      <c r="J59" s="205"/>
      <c r="K59" s="206">
        <v>890.52</v>
      </c>
      <c r="L59" s="205">
        <f t="shared" si="18"/>
        <v>-107.38</v>
      </c>
      <c r="M59" s="266">
        <f t="shared" si="17"/>
        <v>0.8794187665633563</v>
      </c>
      <c r="N59" s="236"/>
      <c r="O59" s="220">
        <f>F59-липень!F59</f>
        <v>49.309999999999945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78.18</v>
      </c>
      <c r="G61" s="202">
        <f t="shared" si="13"/>
        <v>-21.819999999999993</v>
      </c>
      <c r="H61" s="204">
        <f t="shared" si="11"/>
        <v>78.18</v>
      </c>
      <c r="I61" s="205">
        <f t="shared" si="14"/>
        <v>-21.819999999999993</v>
      </c>
      <c r="J61" s="205">
        <f t="shared" si="16"/>
        <v>78.18</v>
      </c>
      <c r="K61" s="205">
        <v>0.6</v>
      </c>
      <c r="L61" s="205">
        <f t="shared" si="18"/>
        <v>77.58000000000001</v>
      </c>
      <c r="M61" s="266">
        <f t="shared" si="17"/>
        <v>130.3</v>
      </c>
      <c r="N61" s="204">
        <f>E61-липень!E61</f>
        <v>80</v>
      </c>
      <c r="O61" s="208">
        <f>F61-липень!F61</f>
        <v>0</v>
      </c>
      <c r="P61" s="207">
        <f t="shared" si="15"/>
        <v>-80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601836</v>
      </c>
      <c r="G64" s="191">
        <f>F64-E64</f>
        <v>-53460.01000000001</v>
      </c>
      <c r="H64" s="192">
        <f>F64/E64*100</f>
        <v>91.8418532717756</v>
      </c>
      <c r="I64" s="193">
        <f>F64-D64</f>
        <v>-389101.7300000001</v>
      </c>
      <c r="J64" s="193">
        <f>F64/D64*100</f>
        <v>60.73398779558025</v>
      </c>
      <c r="K64" s="193">
        <v>451134.19</v>
      </c>
      <c r="L64" s="193">
        <f>F64-K64</f>
        <v>150701.81</v>
      </c>
      <c r="M64" s="267">
        <f>F64/K64</f>
        <v>1.3340509616440288</v>
      </c>
      <c r="N64" s="191">
        <f>N8+N38+N62+N63</f>
        <v>131335.19999999995</v>
      </c>
      <c r="O64" s="191">
        <f>O8+O38+O62+O63</f>
        <v>21228.219999999965</v>
      </c>
      <c r="P64" s="195">
        <f>O64-N64</f>
        <v>-110106.97999999998</v>
      </c>
      <c r="Q64" s="193">
        <f>O64/N64*100</f>
        <v>16.163389555884464</v>
      </c>
      <c r="R64" s="28">
        <f>O64-34768</f>
        <v>-13539.780000000035</v>
      </c>
      <c r="S64" s="128">
        <f>O64/34768</f>
        <v>0.6105677634606524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9561.64</v>
      </c>
      <c r="G75" s="202">
        <f t="shared" si="19"/>
        <v>7164.789999999999</v>
      </c>
      <c r="H75" s="204">
        <f>F75/E75*100</f>
        <v>398.9252560652523</v>
      </c>
      <c r="I75" s="207">
        <f t="shared" si="20"/>
        <v>3561.6399999999994</v>
      </c>
      <c r="J75" s="207">
        <f>F75/D75*100</f>
        <v>159.36066666666667</v>
      </c>
      <c r="K75" s="207">
        <v>1838.64</v>
      </c>
      <c r="L75" s="207">
        <f t="shared" si="21"/>
        <v>7722.999999999999</v>
      </c>
      <c r="M75" s="254">
        <f>F75/K75</f>
        <v>5.200387242744637</v>
      </c>
      <c r="N75" s="204">
        <f>E75-липень!E75</f>
        <v>302</v>
      </c>
      <c r="O75" s="208">
        <f>F75-липень!F75</f>
        <v>51.94999999999891</v>
      </c>
      <c r="P75" s="207">
        <f t="shared" si="22"/>
        <v>-250.0500000000011</v>
      </c>
      <c r="Q75" s="207">
        <f>O75/N75*100</f>
        <v>17.201986754966526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17854.22</v>
      </c>
      <c r="G77" s="226">
        <f t="shared" si="19"/>
        <v>9372.160000000002</v>
      </c>
      <c r="H77" s="227">
        <f>F77/E77*100</f>
        <v>210.49391303527685</v>
      </c>
      <c r="I77" s="228">
        <f t="shared" si="20"/>
        <v>183.22000000000116</v>
      </c>
      <c r="J77" s="228">
        <f>F77/D77*100</f>
        <v>101.03684002037237</v>
      </c>
      <c r="K77" s="228">
        <v>5991.37</v>
      </c>
      <c r="L77" s="228">
        <f t="shared" si="21"/>
        <v>11862.850000000002</v>
      </c>
      <c r="M77" s="260">
        <f>F77/K77</f>
        <v>2.97998955163844</v>
      </c>
      <c r="N77" s="226">
        <f>N73+N74+N75+N76</f>
        <v>1252.9</v>
      </c>
      <c r="O77" s="230">
        <f>O73+O74+O75+O76</f>
        <v>51.96999999999889</v>
      </c>
      <c r="P77" s="228">
        <f t="shared" si="22"/>
        <v>-1200.9300000000012</v>
      </c>
      <c r="Q77" s="228">
        <f>O77/N77*100</f>
        <v>4.147976694069669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4905.21</v>
      </c>
      <c r="G80" s="202">
        <f t="shared" si="19"/>
        <v>-2718.3900000000003</v>
      </c>
      <c r="H80" s="204">
        <f>F80/E80*100</f>
        <v>64.34243664410515</v>
      </c>
      <c r="I80" s="207">
        <f t="shared" si="20"/>
        <v>-4594.79</v>
      </c>
      <c r="J80" s="207">
        <f>F80/D80*100</f>
        <v>51.63378947368421</v>
      </c>
      <c r="K80" s="207">
        <v>0</v>
      </c>
      <c r="L80" s="207">
        <f t="shared" si="21"/>
        <v>4905.21</v>
      </c>
      <c r="M80" s="254"/>
      <c r="N80" s="204">
        <f>E80-липень!E80</f>
        <v>2496.3</v>
      </c>
      <c r="O80" s="208">
        <f>F80-липень!F80</f>
        <v>2.869999999999891</v>
      </c>
      <c r="P80" s="207">
        <f>O80-N80</f>
        <v>-2493.4300000000003</v>
      </c>
      <c r="Q80" s="231">
        <f>O80/N80*100</f>
        <v>0.11497015583062495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4911.8</v>
      </c>
      <c r="G82" s="224">
        <f>G78+G81+G79+G80</f>
        <v>-2711.8</v>
      </c>
      <c r="H82" s="227">
        <f>F82/E82*100</f>
        <v>64.42887874494988</v>
      </c>
      <c r="I82" s="228">
        <f t="shared" si="20"/>
        <v>-4589.2</v>
      </c>
      <c r="J82" s="228">
        <f>F82/D82*100</f>
        <v>51.697716029891595</v>
      </c>
      <c r="K82" s="228">
        <v>0.83</v>
      </c>
      <c r="L82" s="228">
        <f t="shared" si="21"/>
        <v>4910.97</v>
      </c>
      <c r="M82" s="268">
        <f>F82/K82</f>
        <v>5917.831325301206</v>
      </c>
      <c r="N82" s="226">
        <f>N78+N81+N79+N80</f>
        <v>2496.3</v>
      </c>
      <c r="O82" s="230">
        <f>O78+O81+O79+O80</f>
        <v>3.329999999999891</v>
      </c>
      <c r="P82" s="226">
        <f>P78+P81+P79+P80</f>
        <v>-2492.9700000000003</v>
      </c>
      <c r="Q82" s="228">
        <f>O82/N82*100</f>
        <v>0.13339742819372233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22782.49</v>
      </c>
      <c r="G85" s="233">
        <f>F85-E85</f>
        <v>6656.0300000000025</v>
      </c>
      <c r="H85" s="234">
        <f>F85/E85*100</f>
        <v>141.27396837247605</v>
      </c>
      <c r="I85" s="235">
        <f>F85-D85</f>
        <v>-4432.509999999998</v>
      </c>
      <c r="J85" s="235">
        <f>F85/D85*100</f>
        <v>83.7129891603895</v>
      </c>
      <c r="K85" s="235">
        <v>6163.42</v>
      </c>
      <c r="L85" s="235">
        <f>F85-K85</f>
        <v>16619.07</v>
      </c>
      <c r="M85" s="269">
        <f>F85/K85</f>
        <v>3.696403944563246</v>
      </c>
      <c r="N85" s="232">
        <f>N71+N83+N77+N82</f>
        <v>3749.7000000000003</v>
      </c>
      <c r="O85" s="232">
        <f>O71+O83+O77+O82+O84</f>
        <v>55.29999999999878</v>
      </c>
      <c r="P85" s="235">
        <f t="shared" si="22"/>
        <v>-3694.4000000000015</v>
      </c>
      <c r="Q85" s="235">
        <f>O85/N85*100</f>
        <v>1.4747846494385892</v>
      </c>
      <c r="R85" s="28">
        <f>O85-8104.96</f>
        <v>-8049.660000000002</v>
      </c>
      <c r="S85" s="101">
        <f>O85/8104.96</f>
        <v>0.006822982469993533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624618.49</v>
      </c>
      <c r="G86" s="233">
        <f>F86-E86</f>
        <v>-46803.97999999998</v>
      </c>
      <c r="H86" s="234">
        <f>F86/E86*100</f>
        <v>93.02913112216814</v>
      </c>
      <c r="I86" s="235">
        <f>F86-D86</f>
        <v>-393534.2400000001</v>
      </c>
      <c r="J86" s="235">
        <f>F86/D86*100</f>
        <v>61.34821148100246</v>
      </c>
      <c r="K86" s="235">
        <f>K64+K85</f>
        <v>457297.61</v>
      </c>
      <c r="L86" s="235">
        <f>F86-K86</f>
        <v>167320.88</v>
      </c>
      <c r="M86" s="269">
        <f>F86/K86</f>
        <v>1.3658905630405547</v>
      </c>
      <c r="N86" s="233">
        <f>N64+N85</f>
        <v>135084.89999999997</v>
      </c>
      <c r="O86" s="233">
        <f>O64+O85</f>
        <v>21283.519999999964</v>
      </c>
      <c r="P86" s="235">
        <f t="shared" si="22"/>
        <v>-113801.38</v>
      </c>
      <c r="Q86" s="235">
        <f>O86/N86*100</f>
        <v>15.755661809721122</v>
      </c>
      <c r="R86" s="28">
        <f>O86-42872.96</f>
        <v>-21589.440000000035</v>
      </c>
      <c r="S86" s="101">
        <f>O86/42872.96</f>
        <v>0.49643225007090636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17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6476.881176470587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42587</v>
      </c>
      <c r="D90" s="31">
        <v>7837.9</v>
      </c>
      <c r="G90" s="4" t="s">
        <v>59</v>
      </c>
      <c r="O90" s="419"/>
      <c r="P90" s="419"/>
      <c r="T90" s="186">
        <f t="shared" si="23"/>
        <v>7837.9</v>
      </c>
    </row>
    <row r="91" spans="3:16" ht="15">
      <c r="C91" s="87">
        <v>42586</v>
      </c>
      <c r="D91" s="31">
        <v>4150.3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42585</v>
      </c>
      <c r="D92" s="31">
        <v>1511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2792.1711800000003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401.42</v>
      </c>
      <c r="G97" s="73">
        <f>G45+G48+G49</f>
        <v>-532.58</v>
      </c>
      <c r="H97" s="74"/>
      <c r="I97" s="74"/>
      <c r="N97" s="31">
        <f>N45+N48+N49</f>
        <v>212</v>
      </c>
      <c r="O97" s="246">
        <f>O45+O48+O49</f>
        <v>27.119999999999962</v>
      </c>
      <c r="P97" s="31">
        <f>P45+P48+P49</f>
        <v>-184.88000000000005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9" sqref="F3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 hidden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2016-08-08T12:00:57Z</cp:lastPrinted>
  <dcterms:created xsi:type="dcterms:W3CDTF">2003-07-28T11:27:56Z</dcterms:created>
  <dcterms:modified xsi:type="dcterms:W3CDTF">2016-08-08T12:07:57Z</dcterms:modified>
  <cp:category/>
  <cp:version/>
  <cp:contentType/>
  <cp:contentStatus/>
</cp:coreProperties>
</file>